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/>
  </bookViews>
  <sheets>
    <sheet name="Heat transfer" sheetId="1" r:id="rId1"/>
    <sheet name="Interpolations" sheetId="2" r:id="rId2"/>
    <sheet name="G values" sheetId="3" r:id="rId3"/>
  </sheets>
  <calcPr calcId="145621"/>
</workbook>
</file>

<file path=xl/calcChain.xml><?xml version="1.0" encoding="utf-8"?>
<calcChain xmlns="http://schemas.openxmlformats.org/spreadsheetml/2006/main">
  <c r="B81" i="1" l="1"/>
  <c r="C43" i="1" l="1"/>
  <c r="B43" i="1"/>
  <c r="B47" i="1"/>
  <c r="B67" i="1" l="1"/>
  <c r="C67" i="1" s="1"/>
  <c r="D33" i="2"/>
  <c r="E33" i="2" s="1"/>
  <c r="D34" i="2"/>
  <c r="E34" i="2" s="1"/>
  <c r="D35" i="2"/>
  <c r="E35" i="2" s="1"/>
  <c r="D36" i="2"/>
  <c r="E36" i="2" s="1"/>
  <c r="D32" i="2"/>
  <c r="E32" i="2" s="1"/>
  <c r="D28" i="2"/>
  <c r="D25" i="2"/>
  <c r="E25" i="2" s="1"/>
  <c r="D26" i="2"/>
  <c r="E26" i="2" s="1"/>
  <c r="D27" i="2"/>
  <c r="E27" i="2" s="1"/>
  <c r="D24" i="2"/>
  <c r="E24" i="2" s="1"/>
  <c r="D3" i="2" l="1"/>
  <c r="C75" i="1"/>
  <c r="K10" i="2"/>
  <c r="L10" i="2" s="1"/>
  <c r="K11" i="2"/>
  <c r="L11" i="2" s="1"/>
  <c r="K12" i="2"/>
  <c r="L12" i="2" s="1"/>
  <c r="K13" i="2"/>
  <c r="L13" i="2" s="1"/>
  <c r="C10" i="1"/>
  <c r="B11" i="1" s="1"/>
  <c r="D5" i="3"/>
  <c r="D6" i="3" s="1"/>
  <c r="C4" i="3"/>
  <c r="C5" i="3" s="1"/>
  <c r="C6" i="3" s="1"/>
  <c r="D4" i="3"/>
  <c r="E4" i="3"/>
  <c r="E5" i="3" s="1"/>
  <c r="E6" i="3" s="1"/>
  <c r="F4" i="3"/>
  <c r="F5" i="3" s="1"/>
  <c r="F6" i="3" s="1"/>
  <c r="G4" i="3"/>
  <c r="G5" i="3" s="1"/>
  <c r="G6" i="3" s="1"/>
  <c r="B4" i="3"/>
  <c r="B5" i="3" s="1"/>
  <c r="L3" i="3"/>
  <c r="C76" i="1"/>
  <c r="D19" i="2"/>
  <c r="E19" i="2" s="1"/>
  <c r="D17" i="2"/>
  <c r="D11" i="2"/>
  <c r="D12" i="2"/>
  <c r="D13" i="2"/>
  <c r="D10" i="2"/>
  <c r="E10" i="2" s="1"/>
  <c r="B38" i="1" s="1"/>
  <c r="D4" i="2"/>
  <c r="D5" i="2"/>
  <c r="D6" i="2"/>
  <c r="E17" i="2"/>
  <c r="E18" i="2" s="1"/>
  <c r="C80" i="1"/>
  <c r="C79" i="1"/>
  <c r="B51" i="1"/>
  <c r="C51" i="1" s="1"/>
  <c r="B34" i="1"/>
  <c r="C60" i="1"/>
  <c r="C59" i="1"/>
  <c r="C58" i="1"/>
  <c r="C31" i="1"/>
  <c r="B68" i="1" s="1"/>
  <c r="B28" i="1"/>
  <c r="C28" i="1" s="1"/>
  <c r="C27" i="1"/>
  <c r="C26" i="1"/>
  <c r="C9" i="1"/>
  <c r="B5" i="1"/>
  <c r="B6" i="1" s="1"/>
  <c r="C6" i="1" s="1"/>
  <c r="C4" i="1"/>
  <c r="C3" i="1"/>
  <c r="C81" i="1" l="1"/>
  <c r="B6" i="3"/>
  <c r="B8" i="3" s="1"/>
  <c r="B83" i="1" s="1"/>
  <c r="B35" i="1"/>
  <c r="B36" i="1" s="1"/>
  <c r="B62" i="1"/>
  <c r="E3" i="2"/>
  <c r="B13" i="1" s="1"/>
  <c r="E4" i="2"/>
  <c r="B14" i="1" s="1"/>
  <c r="C5" i="1"/>
  <c r="B86" i="1" l="1"/>
  <c r="B15" i="1"/>
  <c r="E5" i="2"/>
  <c r="B16" i="1" s="1"/>
  <c r="E6" i="2"/>
  <c r="B19" i="1" s="1"/>
  <c r="E11" i="2"/>
  <c r="B39" i="1" s="1"/>
  <c r="B40" i="1" s="1"/>
  <c r="B18" i="1" l="1"/>
  <c r="B20" i="1" s="1"/>
  <c r="B22" i="1" s="1"/>
  <c r="E12" i="2"/>
  <c r="B41" i="1" s="1"/>
  <c r="E13" i="2"/>
  <c r="B44" i="1" s="1"/>
  <c r="C18" i="1" l="1"/>
  <c r="B54" i="1"/>
  <c r="B70" i="1" s="1"/>
</calcChain>
</file>

<file path=xl/sharedStrings.xml><?xml version="1.0" encoding="utf-8"?>
<sst xmlns="http://schemas.openxmlformats.org/spreadsheetml/2006/main" count="118" uniqueCount="70">
  <si>
    <t>Tm in</t>
  </si>
  <si>
    <t>Tm out</t>
  </si>
  <si>
    <t>Tavg pipe</t>
  </si>
  <si>
    <t>Tavg total</t>
  </si>
  <si>
    <r>
      <t xml:space="preserve">Viscosity, </t>
    </r>
    <r>
      <rPr>
        <sz val="11"/>
        <color theme="1"/>
        <rFont val="Calibri"/>
        <family val="2"/>
      </rPr>
      <t>μ</t>
    </r>
  </si>
  <si>
    <r>
      <t>Thermal conductivity, K</t>
    </r>
    <r>
      <rPr>
        <vertAlign val="subscript"/>
        <sz val="11"/>
        <color theme="1"/>
        <rFont val="Calibri"/>
        <family val="2"/>
        <scheme val="minor"/>
      </rPr>
      <t>f</t>
    </r>
  </si>
  <si>
    <r>
      <t xml:space="preserve">Kinematic viscosity, </t>
    </r>
    <r>
      <rPr>
        <sz val="11"/>
        <color theme="1"/>
        <rFont val="Calibri"/>
        <family val="2"/>
      </rPr>
      <t>ν</t>
    </r>
  </si>
  <si>
    <t>Reynolds</t>
  </si>
  <si>
    <t>h out (for q conv pipe)</t>
  </si>
  <si>
    <t>Diameter</t>
  </si>
  <si>
    <t>in</t>
  </si>
  <si>
    <t>K</t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</si>
  <si>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</si>
  <si>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Velocity of tub water (m/s)</t>
  </si>
  <si>
    <t>m</t>
  </si>
  <si>
    <t>Prandtl</t>
  </si>
  <si>
    <t>Nu</t>
  </si>
  <si>
    <t>h in (for q conv pipe)</t>
  </si>
  <si>
    <r>
      <t>Area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</si>
  <si>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Velocity (m/s)</t>
  </si>
  <si>
    <t>Specific Volume (1/density)</t>
  </si>
  <si>
    <t>h in</t>
  </si>
  <si>
    <t>h out</t>
  </si>
  <si>
    <t>Δx</t>
  </si>
  <si>
    <t>k pipe</t>
  </si>
  <si>
    <t>q convection, pipe</t>
  </si>
  <si>
    <t>Area</t>
  </si>
  <si>
    <t>q, conv, pipe</t>
  </si>
  <si>
    <r>
      <t>ΔT</t>
    </r>
    <r>
      <rPr>
        <vertAlign val="subscript"/>
        <sz val="11"/>
        <color theme="1"/>
        <rFont val="Calibri"/>
        <family val="2"/>
      </rPr>
      <t>lm</t>
    </r>
  </si>
  <si>
    <r>
      <t>ΔT</t>
    </r>
    <r>
      <rPr>
        <vertAlign val="subscript"/>
        <sz val="11"/>
        <color theme="1"/>
        <rFont val="Calibri"/>
        <family val="2"/>
        <scheme val="minor"/>
      </rPr>
      <t>lm</t>
    </r>
  </si>
  <si>
    <t>x</t>
  </si>
  <si>
    <t>T</t>
  </si>
  <si>
    <t>viscosity</t>
  </si>
  <si>
    <t>specific volume</t>
  </si>
  <si>
    <t>thermal conductivity</t>
  </si>
  <si>
    <t>Prandtle Number</t>
  </si>
  <si>
    <t>Total Energy Balance</t>
  </si>
  <si>
    <t>T, water in tub, initial</t>
  </si>
  <si>
    <t>Specific heat, water in tub</t>
  </si>
  <si>
    <t>T water, initial</t>
  </si>
  <si>
    <t>T water, final</t>
  </si>
  <si>
    <t>q, rad</t>
  </si>
  <si>
    <t>q, conv, air</t>
  </si>
  <si>
    <t>density</t>
  </si>
  <si>
    <t>Specific heat</t>
  </si>
  <si>
    <t>q, conv, pipe should be</t>
  </si>
  <si>
    <t>Total</t>
  </si>
  <si>
    <t>Area (ft^2, m^2)</t>
  </si>
  <si>
    <t>Volumetric flow rate (mL/min)</t>
  </si>
  <si>
    <r>
      <t>Volumetric Flow Rate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/s)</t>
    </r>
  </si>
  <si>
    <t>G Value</t>
  </si>
  <si>
    <t>9-10</t>
  </si>
  <si>
    <t>10-11</t>
  </si>
  <si>
    <t>11-12</t>
  </si>
  <si>
    <t>3-4</t>
  </si>
  <si>
    <t>4-5</t>
  </si>
  <si>
    <t>12-3</t>
  </si>
  <si>
    <t>Time Intervals</t>
  </si>
  <si>
    <t>q''</t>
  </si>
  <si>
    <t>q</t>
  </si>
  <si>
    <t>q rad total</t>
  </si>
  <si>
    <t>Fractioned q</t>
  </si>
  <si>
    <t>Water depth, (in, m)</t>
  </si>
  <si>
    <t>Q of tub water (mL/min,m^3/s)</t>
  </si>
  <si>
    <t>Length (ft, m)</t>
  </si>
  <si>
    <t>kinematic viscosity</t>
  </si>
  <si>
    <t>alpha</t>
  </si>
  <si>
    <t>density, water in tub (@ 301.5K) (kg/m^3)</t>
  </si>
  <si>
    <t>1/U</t>
  </si>
  <si>
    <t>1/U= 1/h in + x/k + 1/h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</si>
</sst>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0" borderId="4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/>
    <xf numFmtId="11" fontId="0" fillId="0" borderId="1" xfId="0" applyNumberFormat="1" applyBorder="1"/>
    <xf numFmtId="0" fontId="0" fillId="0" borderId="1" xfId="0" applyFill="1" applyBorder="1"/>
    <xf numFmtId="0" fontId="0" fillId="6" borderId="1" xfId="0" applyFill="1" applyBorder="1"/>
    <xf numFmtId="0" fontId="0" fillId="5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1" xfId="0" applyBorder="1" applyAlignment="1"/>
    <xf numFmtId="49" fontId="0" fillId="0" borderId="0" xfId="0" applyNumberFormat="1"/>
    <xf numFmtId="49" fontId="0" fillId="6" borderId="1" xfId="0" applyNumberFormat="1" applyFill="1" applyBorder="1" applyAlignment="1">
      <alignment horizontal="center"/>
    </xf>
    <xf numFmtId="11" fontId="0" fillId="0" borderId="0" xfId="0" applyNumberFormat="1"/>
    <xf numFmtId="0" fontId="0" fillId="0" borderId="0" xfId="0" applyFill="1" applyBorder="1"/>
    <xf numFmtId="164" fontId="0" fillId="0" borderId="1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164" fontId="0" fillId="9" borderId="1" xfId="0" applyNumberFormat="1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topLeftCell="A61" workbookViewId="0">
      <selection activeCell="D83" sqref="D83"/>
    </sheetView>
  </sheetViews>
  <sheetFormatPr defaultRowHeight="15" x14ac:dyDescent="0.25"/>
  <cols>
    <col min="1" max="1" width="38.5703125" bestFit="1" customWidth="1"/>
    <col min="2" max="2" width="12" bestFit="1" customWidth="1"/>
    <col min="3" max="3" width="9.7109375" bestFit="1" customWidth="1"/>
  </cols>
  <sheetData>
    <row r="1" spans="1:3" x14ac:dyDescent="0.25">
      <c r="A1" s="35" t="s">
        <v>8</v>
      </c>
      <c r="B1" s="35"/>
      <c r="C1" s="35"/>
    </row>
    <row r="2" spans="1:3" ht="17.25" x14ac:dyDescent="0.25">
      <c r="A2" s="5"/>
      <c r="B2" s="2" t="s">
        <v>12</v>
      </c>
      <c r="C2" s="2" t="s">
        <v>11</v>
      </c>
    </row>
    <row r="3" spans="1:3" x14ac:dyDescent="0.25">
      <c r="A3" s="3" t="s">
        <v>0</v>
      </c>
      <c r="B3" s="10">
        <v>20</v>
      </c>
      <c r="C3" s="2">
        <f>273+B3</f>
        <v>293</v>
      </c>
    </row>
    <row r="4" spans="1:3" x14ac:dyDescent="0.25">
      <c r="A4" s="3" t="s">
        <v>1</v>
      </c>
      <c r="B4" s="2">
        <v>25</v>
      </c>
      <c r="C4" s="2">
        <f>273+B4</f>
        <v>298</v>
      </c>
    </row>
    <row r="5" spans="1:3" x14ac:dyDescent="0.25">
      <c r="A5" s="3" t="s">
        <v>2</v>
      </c>
      <c r="B5" s="2">
        <f>(B3+B4)/2</f>
        <v>22.5</v>
      </c>
      <c r="C5" s="2">
        <f>273+B5</f>
        <v>295.5</v>
      </c>
    </row>
    <row r="6" spans="1:3" x14ac:dyDescent="0.25">
      <c r="A6" s="3" t="s">
        <v>3</v>
      </c>
      <c r="B6" s="2">
        <f>(B5+25)/2</f>
        <v>23.75</v>
      </c>
      <c r="C6" s="2">
        <f>273+$B$6</f>
        <v>296.75</v>
      </c>
    </row>
    <row r="7" spans="1:3" x14ac:dyDescent="0.25">
      <c r="A7" s="6"/>
      <c r="B7" s="6"/>
      <c r="C7" s="4"/>
    </row>
    <row r="8" spans="1:3" x14ac:dyDescent="0.25">
      <c r="A8" s="6"/>
      <c r="B8" s="8" t="s">
        <v>10</v>
      </c>
      <c r="C8" s="2" t="s">
        <v>14</v>
      </c>
    </row>
    <row r="9" spans="1:3" x14ac:dyDescent="0.25">
      <c r="A9" s="3" t="s">
        <v>9</v>
      </c>
      <c r="B9" s="19">
        <v>0.5</v>
      </c>
      <c r="C9" s="2">
        <f>B9*2.54*(1/100)</f>
        <v>1.2700000000000001E-2</v>
      </c>
    </row>
    <row r="10" spans="1:3" x14ac:dyDescent="0.25">
      <c r="A10" s="7" t="s">
        <v>63</v>
      </c>
      <c r="B10" s="8">
        <v>1500</v>
      </c>
      <c r="C10" s="2">
        <f>B10*(1/100^3)*(1/60)</f>
        <v>2.5000000000000001E-5</v>
      </c>
    </row>
    <row r="11" spans="1:3" x14ac:dyDescent="0.25">
      <c r="A11" s="7" t="s">
        <v>13</v>
      </c>
      <c r="B11" s="1">
        <f>C10/2.3226</f>
        <v>1.0763799190562302E-5</v>
      </c>
      <c r="C11" s="4"/>
    </row>
    <row r="13" spans="1:3" x14ac:dyDescent="0.25">
      <c r="A13" s="3" t="s">
        <v>4</v>
      </c>
      <c r="B13" s="1">
        <f>Interpolations!E3</f>
        <v>9.2259999999999998E-4</v>
      </c>
    </row>
    <row r="14" spans="1:3" x14ac:dyDescent="0.25">
      <c r="A14" s="3" t="s">
        <v>20</v>
      </c>
      <c r="B14" s="1">
        <f>Interpolations!E4</f>
        <v>1.0023499999999999E-3</v>
      </c>
    </row>
    <row r="15" spans="1:3" x14ac:dyDescent="0.25">
      <c r="A15" s="3" t="s">
        <v>6</v>
      </c>
      <c r="B15" s="1">
        <f>B13*B14</f>
        <v>9.2476810999999996E-7</v>
      </c>
    </row>
    <row r="16" spans="1:3" ht="18" x14ac:dyDescent="0.35">
      <c r="A16" s="3" t="s">
        <v>5</v>
      </c>
      <c r="B16" s="1">
        <f>Interpolations!E5</f>
        <v>0.60845000000000005</v>
      </c>
    </row>
    <row r="18" spans="1:3" x14ac:dyDescent="0.25">
      <c r="A18" s="3" t="s">
        <v>7</v>
      </c>
      <c r="B18" s="16">
        <f>(B11*C9)/B15</f>
        <v>0.14782111130555881</v>
      </c>
      <c r="C18" s="1" t="str">
        <f>IF(B18&lt;500000, "Laminar", "Turbulent")</f>
        <v>Laminar</v>
      </c>
    </row>
    <row r="19" spans="1:3" x14ac:dyDescent="0.25">
      <c r="A19" s="3" t="s">
        <v>15</v>
      </c>
      <c r="B19" s="1">
        <f>Interpolations!E6</f>
        <v>6.3434999999999997</v>
      </c>
    </row>
    <row r="20" spans="1:3" x14ac:dyDescent="0.25">
      <c r="A20" s="3" t="s">
        <v>16</v>
      </c>
      <c r="B20" s="1">
        <f>0.3+((0.62*(B18)^(1/2)*(B19)^(1/3))/(1+(0.4/B19)^(2/3))^(1/4))*(1+(B18/282000)^(5/8))^(4/5)</f>
        <v>0.72538021367508798</v>
      </c>
    </row>
    <row r="21" spans="1:3" x14ac:dyDescent="0.25">
      <c r="B21" s="9"/>
    </row>
    <row r="22" spans="1:3" x14ac:dyDescent="0.25">
      <c r="A22" s="3" t="s">
        <v>22</v>
      </c>
      <c r="B22" s="17">
        <f>(B16*B20)/C9</f>
        <v>34.75256622130766</v>
      </c>
    </row>
    <row r="24" spans="1:3" x14ac:dyDescent="0.25">
      <c r="A24" s="35" t="s">
        <v>17</v>
      </c>
      <c r="B24" s="35"/>
      <c r="C24" s="35"/>
    </row>
    <row r="25" spans="1:3" ht="17.25" x14ac:dyDescent="0.25">
      <c r="A25" s="5"/>
      <c r="B25" s="2" t="s">
        <v>12</v>
      </c>
      <c r="C25" s="2" t="s">
        <v>11</v>
      </c>
    </row>
    <row r="26" spans="1:3" x14ac:dyDescent="0.25">
      <c r="A26" s="3" t="s">
        <v>0</v>
      </c>
      <c r="B26" s="10">
        <v>20</v>
      </c>
      <c r="C26" s="2">
        <f>273+B26</f>
        <v>293</v>
      </c>
    </row>
    <row r="27" spans="1:3" x14ac:dyDescent="0.25">
      <c r="A27" s="3" t="s">
        <v>1</v>
      </c>
      <c r="B27" s="2">
        <v>25</v>
      </c>
      <c r="C27" s="2">
        <f>273+B27</f>
        <v>298</v>
      </c>
    </row>
    <row r="28" spans="1:3" x14ac:dyDescent="0.25">
      <c r="A28" s="3" t="s">
        <v>2</v>
      </c>
      <c r="B28" s="2">
        <f>(B26+B27)/2</f>
        <v>22.5</v>
      </c>
      <c r="C28" s="2">
        <f>273+B28</f>
        <v>295.5</v>
      </c>
    </row>
    <row r="30" spans="1:3" x14ac:dyDescent="0.25">
      <c r="A30" s="6"/>
      <c r="B30" s="8" t="s">
        <v>10</v>
      </c>
      <c r="C30" s="2" t="s">
        <v>14</v>
      </c>
    </row>
    <row r="31" spans="1:3" x14ac:dyDescent="0.25">
      <c r="A31" s="3" t="s">
        <v>9</v>
      </c>
      <c r="B31" s="19">
        <v>0.5</v>
      </c>
      <c r="C31" s="2">
        <f>B31*2.54*(1/100)</f>
        <v>1.2700000000000001E-2</v>
      </c>
    </row>
    <row r="33" spans="1:3" x14ac:dyDescent="0.25">
      <c r="A33" s="3" t="s">
        <v>48</v>
      </c>
      <c r="B33" s="19">
        <v>900000</v>
      </c>
    </row>
    <row r="34" spans="1:3" ht="17.25" x14ac:dyDescent="0.25">
      <c r="A34" s="3" t="s">
        <v>49</v>
      </c>
      <c r="B34" s="17">
        <f>B33*(1/100)^3*(1/60)</f>
        <v>1.5000000000000001E-2</v>
      </c>
    </row>
    <row r="35" spans="1:3" ht="17.25" x14ac:dyDescent="0.25">
      <c r="A35" s="3" t="s">
        <v>18</v>
      </c>
      <c r="B35" s="1">
        <f>PI()*(1/4)*C31^2</f>
        <v>1.2667686977437445E-4</v>
      </c>
    </row>
    <row r="36" spans="1:3" x14ac:dyDescent="0.25">
      <c r="A36" s="3" t="s">
        <v>19</v>
      </c>
      <c r="B36" s="1">
        <f>B34/B35</f>
        <v>118.41151448339909</v>
      </c>
    </row>
    <row r="38" spans="1:3" x14ac:dyDescent="0.25">
      <c r="A38" s="3" t="s">
        <v>4</v>
      </c>
      <c r="B38" s="1">
        <f>Interpolations!E10</f>
        <v>9.4859999999999996E-4</v>
      </c>
    </row>
    <row r="39" spans="1:3" x14ac:dyDescent="0.25">
      <c r="A39" s="3" t="s">
        <v>20</v>
      </c>
      <c r="B39" s="1">
        <f>Interpolations!E11</f>
        <v>1.0020999999999999E-3</v>
      </c>
    </row>
    <row r="40" spans="1:3" x14ac:dyDescent="0.25">
      <c r="A40" s="3" t="s">
        <v>6</v>
      </c>
      <c r="B40" s="1">
        <f>B38*B39</f>
        <v>9.5059205999999984E-7</v>
      </c>
    </row>
    <row r="41" spans="1:3" ht="18" x14ac:dyDescent="0.35">
      <c r="A41" s="3" t="s">
        <v>5</v>
      </c>
      <c r="B41" s="1">
        <f>Interpolations!E12</f>
        <v>0.60670000000000002</v>
      </c>
    </row>
    <row r="43" spans="1:3" x14ac:dyDescent="0.25">
      <c r="A43" s="3" t="s">
        <v>7</v>
      </c>
      <c r="B43" s="16">
        <f>(B36*C31)/B40</f>
        <v>1581989.0542102454</v>
      </c>
      <c r="C43" s="1" t="str">
        <f>IF(B43&lt;500000, "Laminar", "Turbulent")</f>
        <v>Turbulent</v>
      </c>
    </row>
    <row r="44" spans="1:3" x14ac:dyDescent="0.25">
      <c r="A44" s="3" t="s">
        <v>15</v>
      </c>
      <c r="B44" s="1">
        <f>Interpolations!E13</f>
        <v>6.5410000000000004</v>
      </c>
    </row>
    <row r="45" spans="1:3" x14ac:dyDescent="0.25">
      <c r="A45" s="3" t="s">
        <v>16</v>
      </c>
      <c r="B45" s="1">
        <v>3.66</v>
      </c>
      <c r="C45" s="26"/>
    </row>
    <row r="47" spans="1:3" x14ac:dyDescent="0.25">
      <c r="A47" s="3" t="s">
        <v>21</v>
      </c>
      <c r="B47" s="1">
        <f>(B41*B45)/C31</f>
        <v>174.84425196850395</v>
      </c>
      <c r="C47" s="1"/>
    </row>
    <row r="49" spans="1:3" x14ac:dyDescent="0.25">
      <c r="A49" s="35" t="s">
        <v>69</v>
      </c>
      <c r="B49" s="35"/>
      <c r="C49" s="35"/>
    </row>
    <row r="50" spans="1:3" x14ac:dyDescent="0.25">
      <c r="B50" t="s">
        <v>10</v>
      </c>
      <c r="C50" t="s">
        <v>14</v>
      </c>
    </row>
    <row r="51" spans="1:3" x14ac:dyDescent="0.25">
      <c r="A51" s="11" t="s">
        <v>23</v>
      </c>
      <c r="B51" s="1">
        <f>1/16</f>
        <v>6.25E-2</v>
      </c>
      <c r="C51" s="2">
        <f>B51*2.54*(1/100)</f>
        <v>1.5875000000000002E-3</v>
      </c>
    </row>
    <row r="52" spans="1:3" x14ac:dyDescent="0.25">
      <c r="A52" s="12" t="s">
        <v>24</v>
      </c>
      <c r="B52" s="1">
        <v>0.25</v>
      </c>
    </row>
    <row r="54" spans="1:3" x14ac:dyDescent="0.25">
      <c r="A54" s="12" t="s">
        <v>68</v>
      </c>
      <c r="B54" s="1">
        <f>(1/B47)+(C51/B52)+(1/B22)</f>
        <v>4.0844229343646635E-2</v>
      </c>
      <c r="C54" s="1"/>
    </row>
    <row r="56" spans="1:3" ht="18" x14ac:dyDescent="0.35">
      <c r="A56" s="36" t="s">
        <v>28</v>
      </c>
      <c r="B56" s="35"/>
      <c r="C56" s="35"/>
    </row>
    <row r="57" spans="1:3" ht="17.25" x14ac:dyDescent="0.25">
      <c r="B57" s="20" t="s">
        <v>12</v>
      </c>
      <c r="C57" s="20" t="s">
        <v>11</v>
      </c>
    </row>
    <row r="58" spans="1:3" x14ac:dyDescent="0.25">
      <c r="A58" s="3" t="s">
        <v>37</v>
      </c>
      <c r="B58" s="2">
        <v>32</v>
      </c>
      <c r="C58" s="2">
        <f>B58+273</f>
        <v>305</v>
      </c>
    </row>
    <row r="59" spans="1:3" x14ac:dyDescent="0.25">
      <c r="A59" s="3" t="s">
        <v>0</v>
      </c>
      <c r="B59" s="10">
        <v>20</v>
      </c>
      <c r="C59" s="2">
        <f>273+B59</f>
        <v>293</v>
      </c>
    </row>
    <row r="60" spans="1:3" x14ac:dyDescent="0.25">
      <c r="A60" s="3" t="s">
        <v>1</v>
      </c>
      <c r="B60" s="2">
        <v>25</v>
      </c>
      <c r="C60" s="2">
        <f>273+B60</f>
        <v>298</v>
      </c>
    </row>
    <row r="62" spans="1:3" ht="18" x14ac:dyDescent="0.35">
      <c r="A62" s="3" t="s">
        <v>29</v>
      </c>
      <c r="B62" s="1">
        <f>((C58-C60)-(C58-C59))/(LN((C58-C60)/(C58-C59)))</f>
        <v>9.2764980722569277</v>
      </c>
    </row>
    <row r="65" spans="1:3" x14ac:dyDescent="0.25">
      <c r="A65" s="35" t="s">
        <v>25</v>
      </c>
      <c r="B65" s="35"/>
      <c r="C65" s="35"/>
    </row>
    <row r="67" spans="1:3" x14ac:dyDescent="0.25">
      <c r="A67" s="12" t="s">
        <v>64</v>
      </c>
      <c r="B67" s="10">
        <f>26+(3/12)</f>
        <v>26.25</v>
      </c>
      <c r="C67">
        <f>B67*0.3048</f>
        <v>8.0010000000000012</v>
      </c>
    </row>
    <row r="68" spans="1:3" x14ac:dyDescent="0.25">
      <c r="A68" s="12" t="s">
        <v>26</v>
      </c>
      <c r="B68" s="23">
        <f>PI()*C31*C67</f>
        <v>0.31922571183142368</v>
      </c>
    </row>
    <row r="70" spans="1:3" x14ac:dyDescent="0.25">
      <c r="A70" s="12" t="s">
        <v>27</v>
      </c>
      <c r="B70" s="1">
        <f>1/B54*B68*B62</f>
        <v>72.502205281042478</v>
      </c>
      <c r="C70" s="9"/>
    </row>
    <row r="73" spans="1:3" x14ac:dyDescent="0.25">
      <c r="A73" s="32" t="s">
        <v>36</v>
      </c>
      <c r="B73" s="33"/>
      <c r="C73" s="34"/>
    </row>
    <row r="75" spans="1:3" x14ac:dyDescent="0.25">
      <c r="A75" s="12" t="s">
        <v>62</v>
      </c>
      <c r="B75" s="1">
        <v>13</v>
      </c>
      <c r="C75" s="1">
        <f>(B75/12)*0.3048</f>
        <v>0.33019999999999999</v>
      </c>
    </row>
    <row r="76" spans="1:3" x14ac:dyDescent="0.25">
      <c r="A76" s="12" t="s">
        <v>47</v>
      </c>
      <c r="B76" s="1">
        <v>25</v>
      </c>
      <c r="C76" s="1">
        <f>B76*0.3048^2</f>
        <v>2.3225760000000002</v>
      </c>
    </row>
    <row r="77" spans="1:3" x14ac:dyDescent="0.25">
      <c r="A77" s="12" t="s">
        <v>67</v>
      </c>
      <c r="B77" s="1">
        <v>996.41300000000001</v>
      </c>
    </row>
    <row r="78" spans="1:3" x14ac:dyDescent="0.25">
      <c r="A78" s="12" t="s">
        <v>38</v>
      </c>
      <c r="B78" s="1">
        <v>4.1787000000000001</v>
      </c>
    </row>
    <row r="79" spans="1:3" x14ac:dyDescent="0.25">
      <c r="A79" s="12" t="s">
        <v>39</v>
      </c>
      <c r="B79" s="2">
        <v>32</v>
      </c>
      <c r="C79" s="8">
        <f>B79+273</f>
        <v>305</v>
      </c>
    </row>
    <row r="80" spans="1:3" x14ac:dyDescent="0.25">
      <c r="A80" s="12" t="s">
        <v>40</v>
      </c>
      <c r="B80" s="2">
        <v>25</v>
      </c>
      <c r="C80" s="8">
        <f>B80+273</f>
        <v>298</v>
      </c>
    </row>
    <row r="81" spans="1:3" x14ac:dyDescent="0.25">
      <c r="A81" s="12" t="s">
        <v>46</v>
      </c>
      <c r="B81" s="28">
        <f>((C80-C79)/(9*3600))*B78*B77*(C76*C75)</f>
        <v>-0.68989120892918399</v>
      </c>
      <c r="C81" s="8">
        <f>B81*1000</f>
        <v>-689.89120892918402</v>
      </c>
    </row>
    <row r="83" spans="1:3" x14ac:dyDescent="0.25">
      <c r="A83" s="12" t="s">
        <v>41</v>
      </c>
      <c r="B83" s="17">
        <f>'G values'!B8</f>
        <v>1339.8248196432548</v>
      </c>
    </row>
    <row r="84" spans="1:3" x14ac:dyDescent="0.25">
      <c r="A84" s="12" t="s">
        <v>42</v>
      </c>
      <c r="B84" s="17">
        <v>-115.928</v>
      </c>
    </row>
    <row r="86" spans="1:3" x14ac:dyDescent="0.25">
      <c r="A86" s="12" t="s">
        <v>45</v>
      </c>
      <c r="B86" s="31">
        <f>-C81+B83-B84</f>
        <v>2145.6440285724389</v>
      </c>
    </row>
  </sheetData>
  <mergeCells count="6">
    <mergeCell ref="A73:C73"/>
    <mergeCell ref="A1:C1"/>
    <mergeCell ref="A24:C24"/>
    <mergeCell ref="A49:C49"/>
    <mergeCell ref="A65:C65"/>
    <mergeCell ref="A56:C5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F11" sqref="F11"/>
    </sheetView>
  </sheetViews>
  <sheetFormatPr defaultRowHeight="15" x14ac:dyDescent="0.25"/>
  <cols>
    <col min="1" max="1" width="19.5703125" bestFit="1" customWidth="1"/>
    <col min="5" max="5" width="12.7109375" customWidth="1"/>
    <col min="8" max="8" width="24.140625" customWidth="1"/>
  </cols>
  <sheetData>
    <row r="1" spans="1:16" x14ac:dyDescent="0.25">
      <c r="A1" s="2"/>
      <c r="B1" s="2">
        <v>2</v>
      </c>
      <c r="C1" s="2">
        <v>1</v>
      </c>
      <c r="D1" s="2" t="s">
        <v>30</v>
      </c>
    </row>
    <row r="2" spans="1:16" x14ac:dyDescent="0.25">
      <c r="A2" s="14" t="s">
        <v>31</v>
      </c>
      <c r="B2" s="2">
        <v>300</v>
      </c>
      <c r="C2" s="2">
        <v>295</v>
      </c>
      <c r="D2" s="22">
        <v>296.75</v>
      </c>
      <c r="G2" s="4"/>
    </row>
    <row r="3" spans="1:16" x14ac:dyDescent="0.25">
      <c r="A3" s="14" t="s">
        <v>32</v>
      </c>
      <c r="B3" s="2">
        <v>855</v>
      </c>
      <c r="C3" s="2">
        <v>959</v>
      </c>
      <c r="D3" s="2">
        <f>(((B3-C3)*($B$2-$D$2))/($B$2-$C$2)-B3)*-1</f>
        <v>922.6</v>
      </c>
      <c r="E3" s="15">
        <f>D3*10^-6</f>
        <v>9.2259999999999998E-4</v>
      </c>
    </row>
    <row r="4" spans="1:16" x14ac:dyDescent="0.25">
      <c r="A4" s="14" t="s">
        <v>33</v>
      </c>
      <c r="B4" s="2">
        <v>1.0029999999999999</v>
      </c>
      <c r="C4" s="2">
        <v>1.002</v>
      </c>
      <c r="D4" s="2">
        <f>(((B4-C4)*($B$2-$D$2))/($B$2-$C$2)-B4)*-1</f>
        <v>1.0023499999999999</v>
      </c>
      <c r="E4" s="15">
        <f>D4*10^-3</f>
        <v>1.0023499999999999E-3</v>
      </c>
    </row>
    <row r="5" spans="1:16" x14ac:dyDescent="0.25">
      <c r="A5" s="14" t="s">
        <v>34</v>
      </c>
      <c r="B5" s="2">
        <v>613</v>
      </c>
      <c r="C5" s="2">
        <v>606</v>
      </c>
      <c r="D5" s="2">
        <f>(((B5-C5)*($B$2-$D$2))/($B$2-$C$2)-B5)*-1</f>
        <v>608.45000000000005</v>
      </c>
      <c r="E5" s="15">
        <f>D5*10^-3</f>
        <v>0.60845000000000005</v>
      </c>
      <c r="H5" s="9"/>
    </row>
    <row r="6" spans="1:16" x14ac:dyDescent="0.25">
      <c r="A6" s="14" t="s">
        <v>35</v>
      </c>
      <c r="B6" s="8">
        <v>5.83</v>
      </c>
      <c r="C6" s="8">
        <v>6.62</v>
      </c>
      <c r="D6" s="2">
        <f>(((B6-C6)*($B$2-$D$2))/($B$2-$C$2)-B6)*-1</f>
        <v>6.3434999999999997</v>
      </c>
      <c r="E6" s="15">
        <f>D6</f>
        <v>6.3434999999999997</v>
      </c>
      <c r="O6" s="2">
        <v>300</v>
      </c>
      <c r="P6" s="2">
        <v>295</v>
      </c>
    </row>
    <row r="7" spans="1:16" x14ac:dyDescent="0.25">
      <c r="O7" s="2">
        <v>855</v>
      </c>
      <c r="P7" s="2">
        <v>959</v>
      </c>
    </row>
    <row r="8" spans="1:16" x14ac:dyDescent="0.25">
      <c r="A8" s="2"/>
      <c r="B8" s="2">
        <v>2</v>
      </c>
      <c r="C8" s="2">
        <v>1</v>
      </c>
      <c r="D8" s="2" t="s">
        <v>30</v>
      </c>
      <c r="H8" s="2"/>
      <c r="I8" s="2">
        <v>2</v>
      </c>
      <c r="J8" s="2">
        <v>1</v>
      </c>
      <c r="K8" s="2" t="s">
        <v>30</v>
      </c>
      <c r="O8" s="2">
        <v>1.0029999999999999</v>
      </c>
      <c r="P8" s="2">
        <v>1.002</v>
      </c>
    </row>
    <row r="9" spans="1:16" x14ac:dyDescent="0.25">
      <c r="A9" s="14" t="s">
        <v>31</v>
      </c>
      <c r="B9" s="2">
        <v>300</v>
      </c>
      <c r="C9" s="2">
        <v>295</v>
      </c>
      <c r="D9" s="22">
        <v>295.5</v>
      </c>
      <c r="H9" s="14" t="s">
        <v>31</v>
      </c>
      <c r="I9" s="2">
        <v>295</v>
      </c>
      <c r="J9" s="2">
        <v>290</v>
      </c>
      <c r="K9" s="13">
        <v>293.27780000000001</v>
      </c>
      <c r="O9" s="2">
        <v>613</v>
      </c>
      <c r="P9" s="2">
        <v>606</v>
      </c>
    </row>
    <row r="10" spans="1:16" x14ac:dyDescent="0.25">
      <c r="A10" s="14" t="s">
        <v>32</v>
      </c>
      <c r="B10" s="2">
        <v>855</v>
      </c>
      <c r="C10" s="2">
        <v>959</v>
      </c>
      <c r="D10" s="2">
        <f>(((B10-C10)*($B$9-$D$9))/($B$9-$C$9)-B10)*-1</f>
        <v>948.6</v>
      </c>
      <c r="E10" s="15">
        <f>D10*10^-6</f>
        <v>9.4859999999999996E-4</v>
      </c>
      <c r="H10" s="14" t="s">
        <v>32</v>
      </c>
      <c r="I10" s="2">
        <v>959</v>
      </c>
      <c r="J10" s="2">
        <v>1080</v>
      </c>
      <c r="K10" s="2">
        <f>(((I10-J10)*($B$9-$D$9))/($B$9-$C$9)-I10)*-1</f>
        <v>1067.9000000000001</v>
      </c>
      <c r="L10" s="15">
        <f>K10*10^-6</f>
        <v>1.0679000000000001E-3</v>
      </c>
      <c r="O10" s="8">
        <v>5.83</v>
      </c>
      <c r="P10" s="8">
        <v>6.62</v>
      </c>
    </row>
    <row r="11" spans="1:16" x14ac:dyDescent="0.25">
      <c r="A11" s="14" t="s">
        <v>33</v>
      </c>
      <c r="B11" s="2">
        <v>1.0029999999999999</v>
      </c>
      <c r="C11" s="2">
        <v>1.002</v>
      </c>
      <c r="D11" s="2">
        <f>(((B11-C11)*($B$9-$D$9))/($B$9-$C$9)-B11)*-1</f>
        <v>1.0021</v>
      </c>
      <c r="E11" s="15">
        <f>D11*10^-3</f>
        <v>1.0020999999999999E-3</v>
      </c>
      <c r="H11" s="14" t="s">
        <v>33</v>
      </c>
      <c r="I11" s="2">
        <v>1.002</v>
      </c>
      <c r="J11" s="2">
        <v>1.0009999999999999</v>
      </c>
      <c r="K11" s="2">
        <f>(((I11-J11)*($B$9-$D$9))/($B$9-$C$9)-I11)*-1</f>
        <v>1.0010999999999999</v>
      </c>
      <c r="L11" s="15">
        <f>K11*10^-3</f>
        <v>1.0011E-3</v>
      </c>
    </row>
    <row r="12" spans="1:16" x14ac:dyDescent="0.25">
      <c r="A12" s="14" t="s">
        <v>34</v>
      </c>
      <c r="B12" s="2">
        <v>613</v>
      </c>
      <c r="C12" s="2">
        <v>606</v>
      </c>
      <c r="D12" s="2">
        <f>(((B12-C12)*($B$9-$D$9))/($B$9-$C$9)-B12)*-1</f>
        <v>606.70000000000005</v>
      </c>
      <c r="E12" s="15">
        <f>D12*10^-3</f>
        <v>0.60670000000000002</v>
      </c>
      <c r="H12" s="14" t="s">
        <v>34</v>
      </c>
      <c r="I12" s="2">
        <v>606</v>
      </c>
      <c r="J12" s="2">
        <v>598</v>
      </c>
      <c r="K12" s="2">
        <f>(((I12-J12)*($B$9-$D$9))/($B$9-$C$9)-I12)*-1</f>
        <v>598.79999999999995</v>
      </c>
      <c r="L12" s="15">
        <f>K12*10^-3</f>
        <v>0.5988</v>
      </c>
      <c r="O12" s="2">
        <v>290</v>
      </c>
      <c r="P12" s="2">
        <v>285</v>
      </c>
    </row>
    <row r="13" spans="1:16" x14ac:dyDescent="0.25">
      <c r="A13" s="14" t="s">
        <v>35</v>
      </c>
      <c r="B13" s="8">
        <v>5.83</v>
      </c>
      <c r="C13" s="8">
        <v>6.62</v>
      </c>
      <c r="D13" s="2">
        <f>(((B13-C13)*($B$9-$D$9))/($B$9-$C$9)-B13)*-1</f>
        <v>6.5410000000000004</v>
      </c>
      <c r="E13" s="15">
        <f>D13</f>
        <v>6.5410000000000004</v>
      </c>
      <c r="H13" s="14" t="s">
        <v>35</v>
      </c>
      <c r="I13" s="8">
        <v>6.62</v>
      </c>
      <c r="J13" s="8">
        <v>7.56</v>
      </c>
      <c r="K13" s="2">
        <f>(((I13-J13)*($B$9-$D$9))/($B$9-$C$9)-I13)*-1</f>
        <v>7.4659999999999993</v>
      </c>
      <c r="L13" s="15">
        <f>K13</f>
        <v>7.4659999999999993</v>
      </c>
      <c r="O13" s="2">
        <v>1080</v>
      </c>
      <c r="P13" s="2">
        <v>1225</v>
      </c>
    </row>
    <row r="14" spans="1:16" x14ac:dyDescent="0.25">
      <c r="O14" s="2">
        <v>1.0009999999999999</v>
      </c>
      <c r="P14" s="2">
        <v>1</v>
      </c>
    </row>
    <row r="15" spans="1:16" x14ac:dyDescent="0.25">
      <c r="A15" s="2"/>
      <c r="B15" s="2">
        <v>2</v>
      </c>
      <c r="C15" s="2">
        <v>1</v>
      </c>
      <c r="D15" s="2" t="s">
        <v>30</v>
      </c>
      <c r="O15" s="2">
        <v>598</v>
      </c>
      <c r="P15" s="2">
        <v>590</v>
      </c>
    </row>
    <row r="16" spans="1:16" x14ac:dyDescent="0.25">
      <c r="A16" s="14" t="s">
        <v>31</v>
      </c>
      <c r="B16" s="2">
        <v>300</v>
      </c>
      <c r="C16" s="2">
        <v>295</v>
      </c>
      <c r="D16" s="13">
        <v>293.27780000000001</v>
      </c>
      <c r="O16" s="8">
        <v>7.56</v>
      </c>
      <c r="P16" s="8">
        <v>8.81</v>
      </c>
    </row>
    <row r="17" spans="1:5" x14ac:dyDescent="0.25">
      <c r="A17" s="14" t="s">
        <v>33</v>
      </c>
      <c r="B17" s="2">
        <v>1.0029999999999999</v>
      </c>
      <c r="C17" s="2">
        <v>1.002</v>
      </c>
      <c r="D17" s="2">
        <f>(((B17-C17)*($B$16-$D$16))/($B$16-$C$16)-B17)*-1</f>
        <v>1.0016555600000001</v>
      </c>
      <c r="E17" s="15">
        <f>D17*10^-3</f>
        <v>1.0016555600000001E-3</v>
      </c>
    </row>
    <row r="18" spans="1:5" x14ac:dyDescent="0.25">
      <c r="A18" s="14" t="s">
        <v>43</v>
      </c>
      <c r="B18" s="21"/>
      <c r="C18" s="21"/>
      <c r="D18" s="21"/>
      <c r="E18" s="15">
        <f>1/E17</f>
        <v>998.34717634872402</v>
      </c>
    </row>
    <row r="19" spans="1:5" x14ac:dyDescent="0.25">
      <c r="A19" s="14" t="s">
        <v>44</v>
      </c>
      <c r="B19" s="2">
        <v>4.1790000000000003</v>
      </c>
      <c r="C19" s="2">
        <v>4.181</v>
      </c>
      <c r="D19" s="2">
        <f>(((B19-C19)*($B$16-$D$16))/($B$16-$C$16)-B19)*-1</f>
        <v>4.1816888800000003</v>
      </c>
      <c r="E19" s="15">
        <f>D19</f>
        <v>4.1816888800000003</v>
      </c>
    </row>
    <row r="21" spans="1:5" x14ac:dyDescent="0.25">
      <c r="A21" s="6"/>
      <c r="B21" s="6"/>
      <c r="C21" s="6"/>
      <c r="D21" s="6"/>
      <c r="E21" s="27"/>
    </row>
    <row r="22" spans="1:5" x14ac:dyDescent="0.25">
      <c r="A22" s="2"/>
      <c r="B22" s="2">
        <v>2</v>
      </c>
      <c r="C22" s="2">
        <v>1</v>
      </c>
      <c r="D22" s="2" t="s">
        <v>30</v>
      </c>
    </row>
    <row r="23" spans="1:5" x14ac:dyDescent="0.25">
      <c r="A23" s="14" t="s">
        <v>31</v>
      </c>
      <c r="B23" s="2">
        <v>305</v>
      </c>
      <c r="C23" s="2">
        <v>300</v>
      </c>
      <c r="D23" s="22">
        <v>301.5</v>
      </c>
    </row>
    <row r="24" spans="1:5" x14ac:dyDescent="0.25">
      <c r="A24" s="14" t="s">
        <v>32</v>
      </c>
      <c r="B24" s="2">
        <v>769</v>
      </c>
      <c r="C24" s="2">
        <v>855</v>
      </c>
      <c r="D24" s="2">
        <f>(((B24-C24)*($B$23-$D$23))/($B$23-$C$23)-B24)*-1</f>
        <v>829.2</v>
      </c>
      <c r="E24" s="15">
        <f>D24*10^-6</f>
        <v>8.2919999999999999E-4</v>
      </c>
    </row>
    <row r="25" spans="1:5" x14ac:dyDescent="0.25">
      <c r="A25" s="14" t="s">
        <v>33</v>
      </c>
      <c r="B25" s="2">
        <v>1.0049999999999999</v>
      </c>
      <c r="C25" s="2">
        <v>1.0029999999999999</v>
      </c>
      <c r="D25" s="2">
        <f>(((B25-C25)*($B$23-$D$23))/($B$23-$C$23)-B25)*-1</f>
        <v>1.0035999999999998</v>
      </c>
      <c r="E25" s="15">
        <f>D25*10^-3</f>
        <v>1.0035999999999999E-3</v>
      </c>
    </row>
    <row r="26" spans="1:5" x14ac:dyDescent="0.25">
      <c r="A26" s="14" t="s">
        <v>34</v>
      </c>
      <c r="B26" s="2">
        <v>620</v>
      </c>
      <c r="C26" s="2">
        <v>613</v>
      </c>
      <c r="D26" s="2">
        <f>(((B26-C26)*($B$23-$D$23))/($B$23-$C$23)-B26)*-1</f>
        <v>615.1</v>
      </c>
      <c r="E26" s="15">
        <f>D26*10^-3</f>
        <v>0.61509999999999998</v>
      </c>
    </row>
    <row r="27" spans="1:5" x14ac:dyDescent="0.25">
      <c r="A27" s="14" t="s">
        <v>35</v>
      </c>
      <c r="B27" s="8">
        <v>5.2</v>
      </c>
      <c r="C27" s="8">
        <v>5.83</v>
      </c>
      <c r="D27" s="2">
        <f>(((B27-C27)*($B$23-$D$23))/($B$23-$C$23)-B27)*-1</f>
        <v>5.641</v>
      </c>
      <c r="E27" s="15">
        <f>D27</f>
        <v>5.641</v>
      </c>
    </row>
    <row r="28" spans="1:5" x14ac:dyDescent="0.25">
      <c r="B28" s="29">
        <v>4.1779999999999999</v>
      </c>
      <c r="C28" s="29">
        <v>4.1790000000000003</v>
      </c>
      <c r="D28" s="29">
        <f>(((B28-C28)*($B$23-$D$23))/($B$23-$C$23)-B28)*-1</f>
        <v>4.1787000000000001</v>
      </c>
    </row>
    <row r="30" spans="1:5" x14ac:dyDescent="0.25">
      <c r="A30" s="2"/>
      <c r="B30" s="2">
        <v>2</v>
      </c>
      <c r="C30" s="2">
        <v>1</v>
      </c>
      <c r="D30" s="2" t="s">
        <v>30</v>
      </c>
    </row>
    <row r="31" spans="1:5" x14ac:dyDescent="0.25">
      <c r="A31" s="14" t="s">
        <v>31</v>
      </c>
      <c r="B31" s="2">
        <v>350</v>
      </c>
      <c r="C31" s="2">
        <v>300</v>
      </c>
      <c r="D31" s="22">
        <v>308</v>
      </c>
    </row>
    <row r="32" spans="1:5" x14ac:dyDescent="0.25">
      <c r="A32" s="14" t="s">
        <v>43</v>
      </c>
      <c r="B32" s="2">
        <v>769</v>
      </c>
      <c r="C32" s="2">
        <v>855</v>
      </c>
      <c r="D32" s="2">
        <f>(((B32-C32)*($B$31-$D$31))/($B$31-$C$31)-B32)*-1</f>
        <v>841.24</v>
      </c>
      <c r="E32" s="15">
        <f>D32*10^-6</f>
        <v>8.4123999999999993E-4</v>
      </c>
    </row>
    <row r="33" spans="1:8" x14ac:dyDescent="0.25">
      <c r="A33" s="14" t="s">
        <v>65</v>
      </c>
      <c r="B33" s="2">
        <v>20.92</v>
      </c>
      <c r="C33" s="2">
        <v>15.89</v>
      </c>
      <c r="D33" s="2">
        <f>(((B33-C33)*($B$31-$D$31))/($B$31-$C$31)-B33)*-1</f>
        <v>16.694800000000001</v>
      </c>
      <c r="E33" s="15">
        <f>D33*10^-6</f>
        <v>1.6694800000000002E-5</v>
      </c>
      <c r="H33" s="9"/>
    </row>
    <row r="34" spans="1:8" x14ac:dyDescent="0.25">
      <c r="A34" s="14" t="s">
        <v>34</v>
      </c>
      <c r="B34" s="2">
        <v>30</v>
      </c>
      <c r="C34" s="2">
        <v>26.3</v>
      </c>
      <c r="D34" s="2">
        <f>(((B34-C34)*($B$31-$D$31))/($B$31-$C$31)-B34)*-1</f>
        <v>26.891999999999999</v>
      </c>
      <c r="E34" s="15">
        <f>D34*10^-3</f>
        <v>2.6891999999999999E-2</v>
      </c>
      <c r="H34" s="9"/>
    </row>
    <row r="35" spans="1:8" x14ac:dyDescent="0.25">
      <c r="A35" s="14" t="s">
        <v>35</v>
      </c>
      <c r="B35" s="8">
        <v>0.7</v>
      </c>
      <c r="C35" s="8">
        <v>0.70699999999999996</v>
      </c>
      <c r="D35" s="2">
        <f>(((B35-C35)*($B$31-$D$31))/($B$31-$C$31)-B35)*-1</f>
        <v>0.70587999999999995</v>
      </c>
      <c r="E35" s="15">
        <f>D35</f>
        <v>0.70587999999999995</v>
      </c>
      <c r="H35" s="4"/>
    </row>
    <row r="36" spans="1:8" x14ac:dyDescent="0.25">
      <c r="A36" s="30" t="s">
        <v>66</v>
      </c>
      <c r="B36" s="29">
        <v>29.9</v>
      </c>
      <c r="C36" s="29">
        <v>22.5</v>
      </c>
      <c r="D36" s="2">
        <f>(((B36-C36)*($B$31-$D$31))/($B$31-$C$31)-B36)*-1</f>
        <v>23.683999999999997</v>
      </c>
      <c r="E36">
        <f>D36*10^-6</f>
        <v>2.3683999999999996E-5</v>
      </c>
      <c r="H36" s="4"/>
    </row>
    <row r="37" spans="1:8" x14ac:dyDescent="0.25">
      <c r="H37" s="6"/>
    </row>
    <row r="38" spans="1:8" x14ac:dyDescent="0.25">
      <c r="H38" s="6"/>
    </row>
    <row r="39" spans="1:8" x14ac:dyDescent="0.25">
      <c r="H39" s="9"/>
    </row>
    <row r="40" spans="1:8" x14ac:dyDescent="0.25">
      <c r="H4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D11" sqref="D11"/>
    </sheetView>
  </sheetViews>
  <sheetFormatPr defaultRowHeight="15" x14ac:dyDescent="0.25"/>
  <cols>
    <col min="1" max="1" width="12" bestFit="1" customWidth="1"/>
  </cols>
  <sheetData>
    <row r="1" spans="1:12" x14ac:dyDescent="0.25">
      <c r="B1" s="37" t="s">
        <v>57</v>
      </c>
      <c r="C1" s="37"/>
      <c r="D1" s="37"/>
      <c r="E1" s="37"/>
      <c r="F1" s="37"/>
      <c r="G1" s="37"/>
    </row>
    <row r="2" spans="1:12" x14ac:dyDescent="0.25">
      <c r="B2" s="25" t="s">
        <v>51</v>
      </c>
      <c r="C2" s="25" t="s">
        <v>52</v>
      </c>
      <c r="D2" s="25" t="s">
        <v>53</v>
      </c>
      <c r="E2" s="25" t="s">
        <v>56</v>
      </c>
      <c r="F2" s="25" t="s">
        <v>54</v>
      </c>
      <c r="G2" s="25" t="s">
        <v>55</v>
      </c>
      <c r="H2" s="24"/>
      <c r="I2" s="24"/>
    </row>
    <row r="3" spans="1:12" x14ac:dyDescent="0.25">
      <c r="A3" s="18" t="s">
        <v>50</v>
      </c>
      <c r="B3" s="2">
        <v>275</v>
      </c>
      <c r="C3" s="2">
        <v>500</v>
      </c>
      <c r="D3" s="2">
        <v>625</v>
      </c>
      <c r="E3" s="2">
        <v>850</v>
      </c>
      <c r="F3" s="2">
        <v>700</v>
      </c>
      <c r="G3" s="2">
        <v>275</v>
      </c>
      <c r="J3" s="18" t="s">
        <v>26</v>
      </c>
      <c r="K3" s="1">
        <v>25</v>
      </c>
      <c r="L3" s="1">
        <f>K3*(0.3048)^2</f>
        <v>2.3225760000000002</v>
      </c>
    </row>
    <row r="4" spans="1:12" x14ac:dyDescent="0.25">
      <c r="A4" s="18" t="s">
        <v>58</v>
      </c>
      <c r="B4" s="1">
        <f t="shared" ref="B4:G4" si="0">0.945*(B3)+0.067*(5.67*10^-8)*(285^4-298^4)</f>
        <v>254.9795483089701</v>
      </c>
      <c r="C4" s="1">
        <f t="shared" si="0"/>
        <v>467.6045483089701</v>
      </c>
      <c r="D4" s="1">
        <f t="shared" si="0"/>
        <v>585.72954830897015</v>
      </c>
      <c r="E4" s="1">
        <f t="shared" si="0"/>
        <v>798.35454830897015</v>
      </c>
      <c r="F4" s="1">
        <f t="shared" si="0"/>
        <v>656.60454830897015</v>
      </c>
      <c r="G4" s="1">
        <f t="shared" si="0"/>
        <v>254.9795483089701</v>
      </c>
    </row>
    <row r="5" spans="1:12" x14ac:dyDescent="0.25">
      <c r="A5" s="18" t="s">
        <v>59</v>
      </c>
      <c r="B5" s="1">
        <f t="shared" ref="B5:G5" si="1">B4*$L$3</f>
        <v>592.20937939325461</v>
      </c>
      <c r="C5" s="1">
        <f t="shared" si="1"/>
        <v>1086.0471013932547</v>
      </c>
      <c r="D5" s="1">
        <f t="shared" si="1"/>
        <v>1360.4013913932547</v>
      </c>
      <c r="E5" s="1">
        <f t="shared" si="1"/>
        <v>1854.2391133932549</v>
      </c>
      <c r="F5" s="1">
        <f t="shared" si="1"/>
        <v>1525.0139653932547</v>
      </c>
      <c r="G5" s="1">
        <f t="shared" si="1"/>
        <v>592.20937939325461</v>
      </c>
    </row>
    <row r="6" spans="1:12" x14ac:dyDescent="0.25">
      <c r="A6" s="18" t="s">
        <v>61</v>
      </c>
      <c r="B6" s="1">
        <f>(1/8)*B5</f>
        <v>74.026172424156826</v>
      </c>
      <c r="C6" s="1">
        <f>(1/8)*C5</f>
        <v>135.75588767415684</v>
      </c>
      <c r="D6" s="1">
        <f>(1/8)*D5</f>
        <v>170.05017392415684</v>
      </c>
      <c r="E6" s="1">
        <f>(3/8)*E5</f>
        <v>695.33966752247056</v>
      </c>
      <c r="F6" s="1">
        <f>(1/8)*F5</f>
        <v>190.62674567415684</v>
      </c>
      <c r="G6" s="1">
        <f>(1/8)*G5</f>
        <v>74.026172424156826</v>
      </c>
    </row>
    <row r="8" spans="1:12" x14ac:dyDescent="0.25">
      <c r="A8" s="18" t="s">
        <v>60</v>
      </c>
      <c r="B8" s="1">
        <f>SUM(B6:G6)</f>
        <v>1339.8248196432548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Heat transfer</vt:lpstr>
      <vt:lpstr>Interpolations</vt:lpstr>
      <vt:lpstr>G values</vt:lpstr>
    </vt:vector>
  </TitlesOfParts>
  <Company>Clemson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Student</cp:lastModifiedBy>
  <dcterms:created xsi:type="dcterms:W3CDTF">2013-04-11T00:17:00Z</dcterms:created>
  <dcterms:modified xsi:type="dcterms:W3CDTF">2013-04-28T17:09:08Z</dcterms:modified>
</cp:coreProperties>
</file>